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IRWOOD\"/>
    </mc:Choice>
  </mc:AlternateContent>
  <xr:revisionPtr revIDLastSave="0" documentId="8_{3452352F-DDB5-451F-9C73-80940608C58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TitreV Conduit Ech" sheetId="1" r:id="rId1"/>
    <sheet name="Synthèse Ratios" sheetId="3" r:id="rId2"/>
    <sheet name="Feuil2" sheetId="2" state="hidden" r:id="rId3"/>
  </sheets>
  <definedNames>
    <definedName name="_Hlk494891016" localSheetId="0">'Synthèse Ratios'!$B$2</definedName>
    <definedName name="_Hlk494891100" localSheetId="0">'TitreV Conduit Ech'!#REF!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H25" i="1"/>
  <c r="E3" i="3" s="1"/>
  <c r="L38" i="1" l="1"/>
  <c r="H41" i="1" s="1"/>
  <c r="C37" i="1"/>
  <c r="C21" i="2" l="1"/>
  <c r="H21" i="1" l="1"/>
  <c r="J11" i="3"/>
  <c r="I11" i="3"/>
  <c r="C11" i="3"/>
  <c r="D11" i="3"/>
  <c r="H29" i="1"/>
  <c r="I7" i="3" s="1"/>
  <c r="I3" i="3" l="1"/>
  <c r="C38" i="1"/>
  <c r="C35" i="2" l="1"/>
  <c r="H33" i="1"/>
  <c r="H17" i="1"/>
  <c r="M12" i="1" l="1"/>
  <c r="M11" i="1" s="1"/>
  <c r="C7" i="3"/>
  <c r="M13" i="1"/>
  <c r="M14" i="1" s="1"/>
  <c r="G7" i="3"/>
  <c r="D7" i="3"/>
  <c r="E7" i="3"/>
  <c r="J7" i="3"/>
  <c r="J3" i="3"/>
  <c r="H7" i="3"/>
  <c r="F7" i="3"/>
  <c r="C45" i="1"/>
  <c r="C33" i="1"/>
  <c r="C32" i="1"/>
  <c r="G11" i="3" l="1"/>
  <c r="E11" i="3"/>
  <c r="C3" i="3"/>
  <c r="B3" i="3"/>
  <c r="F10" i="3"/>
  <c r="H10" i="3"/>
  <c r="N13" i="1"/>
  <c r="H26" i="1"/>
  <c r="H30" i="1"/>
  <c r="I9" i="3" s="1"/>
  <c r="H22" i="1"/>
  <c r="H34" i="1"/>
  <c r="J9" i="3" s="1"/>
  <c r="H18" i="1"/>
  <c r="C42" i="1"/>
  <c r="F9" i="3" l="1"/>
  <c r="C43" i="1"/>
  <c r="C44" i="1"/>
  <c r="I10" i="1" s="1"/>
  <c r="J10" i="1" s="1"/>
  <c r="H9" i="3"/>
  <c r="H45" i="1"/>
  <c r="H46" i="1" s="1"/>
  <c r="H44" i="1" s="1"/>
  <c r="C9" i="3"/>
  <c r="N12" i="1"/>
  <c r="G9" i="3"/>
  <c r="E9" i="3"/>
  <c r="D9" i="3"/>
  <c r="F11" i="3" l="1"/>
  <c r="H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PEIGNE Pierre</author>
  </authors>
  <commentList>
    <comment ref="C28" authorId="0" shapeId="0" xr:uid="{00000000-0006-0000-0000-000001000000}">
      <text>
        <r>
          <rPr>
            <sz val="9"/>
            <color indexed="81"/>
            <rFont val="Tahoma"/>
            <family val="2"/>
          </rPr>
          <t>Choisir INCLUS avec ALLIANCE</t>
        </r>
      </text>
    </comment>
    <comment ref="C37" authorId="0" shapeId="0" xr:uid="{00000000-0006-0000-0000-000002000000}">
      <text>
        <r>
          <rPr>
            <sz val="9"/>
            <color indexed="81"/>
            <rFont val="Tahoma"/>
            <family val="2"/>
          </rPr>
          <t>Selon tableau conso du R2E dans ATec CONFORT+</t>
        </r>
      </text>
    </comment>
    <comment ref="I37" authorId="0" shapeId="0" xr:uid="{00000000-0006-0000-0000-000003000000}">
      <text>
        <r>
          <rPr>
            <sz val="9"/>
            <color indexed="81"/>
            <rFont val="Tahoma"/>
            <family val="2"/>
          </rPr>
          <t>Case à renseigner dans le cas d'une étude globale</t>
        </r>
      </text>
    </comment>
    <comment ref="C38" authorId="0" shapeId="0" xr:uid="{00000000-0006-0000-0000-000004000000}">
      <text>
        <r>
          <rPr>
            <sz val="9"/>
            <color indexed="81"/>
            <rFont val="Tahoma"/>
            <family val="2"/>
          </rPr>
          <t>Selon feuille de calcul TitreV R-SUN R-VOLT et ATec SunWood</t>
        </r>
      </text>
    </comment>
    <comment ref="I38" authorId="0" shapeId="0" xr:uid="{00000000-0006-0000-0000-000005000000}">
      <text>
        <r>
          <rPr>
            <sz val="9"/>
            <color indexed="81"/>
            <rFont val="Tahoma"/>
            <family val="2"/>
          </rPr>
          <t>Case à renseigner dans le cas d'une étude globale</t>
        </r>
      </text>
    </comment>
    <comment ref="C39" authorId="0" shapeId="0" xr:uid="{00000000-0006-0000-0000-000006000000}">
      <text>
        <r>
          <rPr>
            <sz val="9"/>
            <color indexed="81"/>
            <rFont val="Tahoma"/>
            <family val="2"/>
          </rPr>
          <t>à renseigner selon VMC-DF (si besoin, en considérant un débit moyen de 40 m3/h par pièce distribuée)</t>
        </r>
      </text>
    </comment>
  </commentList>
</comments>
</file>

<file path=xl/sharedStrings.xml><?xml version="1.0" encoding="utf-8"?>
<sst xmlns="http://schemas.openxmlformats.org/spreadsheetml/2006/main" count="180" uniqueCount="162">
  <si>
    <t>Cellier</t>
  </si>
  <si>
    <t>Référence de l'opération</t>
  </si>
  <si>
    <t>Localisation</t>
  </si>
  <si>
    <t>Zone climatique</t>
  </si>
  <si>
    <t>H2c</t>
  </si>
  <si>
    <t>Département</t>
  </si>
  <si>
    <t>Fabricant</t>
  </si>
  <si>
    <t>Modèle</t>
  </si>
  <si>
    <t>AIRWOOD</t>
  </si>
  <si>
    <t>Système retenu</t>
  </si>
  <si>
    <t>CONFORT+</t>
  </si>
  <si>
    <t>ALLIANCE</t>
  </si>
  <si>
    <t>SUNWOOD</t>
  </si>
  <si>
    <t>PROJET</t>
  </si>
  <si>
    <t>Type d'appareil</t>
  </si>
  <si>
    <t>APPAREIL A BOIS</t>
  </si>
  <si>
    <t>Présence de BOOSTY</t>
  </si>
  <si>
    <t>Ech TI</t>
  </si>
  <si>
    <t>Ech IG</t>
  </si>
  <si>
    <t>Ech PGI</t>
  </si>
  <si>
    <t>Gamme du conduit échangeur</t>
  </si>
  <si>
    <t>Coefficient a</t>
  </si>
  <si>
    <t>Coefficient b</t>
  </si>
  <si>
    <t>Bûches régulé</t>
  </si>
  <si>
    <t>Mixte régulé</t>
  </si>
  <si>
    <t>case fond blanc</t>
  </si>
  <si>
    <t>case fond bleu</t>
  </si>
  <si>
    <t>case fond jaune</t>
  </si>
  <si>
    <t>case fond orange</t>
  </si>
  <si>
    <t>case fond vert</t>
  </si>
  <si>
    <t>a</t>
  </si>
  <si>
    <t>b</t>
  </si>
  <si>
    <t>Coeff a et b</t>
  </si>
  <si>
    <t>Puissance nominale appareil</t>
  </si>
  <si>
    <t>existantes pour utilisation</t>
  </si>
  <si>
    <t>complémentaires pour utilisation</t>
  </si>
  <si>
    <t>Données du projet</t>
  </si>
  <si>
    <t>LEGENDE</t>
  </si>
  <si>
    <t>OUI</t>
  </si>
  <si>
    <t>NON</t>
  </si>
  <si>
    <t>INCLUS</t>
  </si>
  <si>
    <t>Option Boosty</t>
  </si>
  <si>
    <t>Séjour</t>
  </si>
  <si>
    <t>…</t>
  </si>
  <si>
    <t>SdB</t>
  </si>
  <si>
    <t>Ch3</t>
  </si>
  <si>
    <t>Ch2</t>
  </si>
  <si>
    <t>Cuisine</t>
  </si>
  <si>
    <t>Rat_t_Ech</t>
  </si>
  <si>
    <t>Conduit échangeur AIR-AIR</t>
  </si>
  <si>
    <t>We/m3/h</t>
  </si>
  <si>
    <t>Position potentiomètre</t>
  </si>
  <si>
    <t>débit fournit</t>
  </si>
  <si>
    <t>Pelec_R2E_max (W)</t>
  </si>
  <si>
    <t>Nb de bouche (à max 40 m3/h)</t>
  </si>
  <si>
    <t>m3/h</t>
  </si>
  <si>
    <t>Modul-R</t>
  </si>
  <si>
    <t>m3/h/chambre en moyenne des modes solaires et bois</t>
  </si>
  <si>
    <t>* voir fiche DoP de l'appareil bois</t>
  </si>
  <si>
    <t>paramètres du TitreV (auto)</t>
  </si>
  <si>
    <t>résultats TitreV (auto)</t>
  </si>
  <si>
    <t>Nb de bouche d'air chaud**</t>
  </si>
  <si>
    <t>** correspond au nombre de pièces distribuée en zone nuit</t>
  </si>
  <si>
    <t>A</t>
  </si>
  <si>
    <t>B</t>
  </si>
  <si>
    <t>D</t>
  </si>
  <si>
    <t>C</t>
  </si>
  <si>
    <t>Zones</t>
  </si>
  <si>
    <t>Partie jour</t>
  </si>
  <si>
    <t>Partie nuit distribuée (A+B &lt; 100m²)</t>
  </si>
  <si>
    <t>Partie nuit non distribuée par air chaud</t>
  </si>
  <si>
    <t>C_bis</t>
  </si>
  <si>
    <r>
      <t>Surface S</t>
    </r>
    <r>
      <rPr>
        <vertAlign val="sub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de la sous-partie A </t>
    </r>
  </si>
  <si>
    <r>
      <t>Surface S</t>
    </r>
    <r>
      <rPr>
        <vertAlign val="sub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de la sous-partie B </t>
    </r>
  </si>
  <si>
    <r>
      <t>Surface S</t>
    </r>
    <r>
      <rPr>
        <vertAlign val="sub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de la sous-partie B</t>
    </r>
  </si>
  <si>
    <r>
      <t>Surface S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de la sous-partie C</t>
    </r>
  </si>
  <si>
    <r>
      <t>« appoint</t>
    </r>
    <r>
      <rPr>
        <b/>
        <sz val="10"/>
        <color theme="1"/>
        <rFont val="Arial"/>
        <family val="2"/>
      </rPr>
      <t xml:space="preserve"> BOOSTY</t>
    </r>
    <r>
      <rPr>
        <sz val="10"/>
        <color theme="1"/>
        <rFont val="Arial"/>
        <family val="2"/>
      </rPr>
      <t> »</t>
    </r>
  </si>
  <si>
    <t>Emetteur complémentaire 1</t>
  </si>
  <si>
    <t>Emetteur complémentaire 2</t>
  </si>
  <si>
    <t>Émetteur principal</t>
  </si>
  <si>
    <t>Emetteur complémentaire 3</t>
  </si>
  <si>
    <t xml:space="preserve">Surface réelle desservie 
par l’émetteur </t>
  </si>
  <si>
    <r>
      <t>S</t>
    </r>
    <r>
      <rPr>
        <vertAlign val="sub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</si>
  <si>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</si>
  <si>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</si>
  <si>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</si>
  <si>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</t>
    </r>
    <r>
      <rPr>
        <vertAlign val="subscript"/>
        <sz val="10"/>
        <color theme="1"/>
        <rFont val="Arial"/>
        <family val="2"/>
      </rPr>
      <t>C_bis</t>
    </r>
    <r>
      <rPr>
        <sz val="10"/>
        <color theme="1"/>
        <rFont val="Arial"/>
        <family val="2"/>
      </rPr>
      <t xml:space="preserve"> / S</t>
    </r>
    <r>
      <rPr>
        <vertAlign val="subscript"/>
        <sz val="10"/>
        <color theme="1"/>
        <rFont val="Arial"/>
        <family val="2"/>
      </rPr>
      <t>Hab</t>
    </r>
  </si>
  <si>
    <r>
      <t>Surface S</t>
    </r>
    <r>
      <rPr>
        <vertAlign val="subscript"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 de la 
sous-partie D</t>
    </r>
  </si>
  <si>
    <r>
      <t>« appoint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type Effet Joule »</t>
    </r>
  </si>
  <si>
    <r>
      <t>« appoint type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Effet Joule »
(par ex : sèche serviettes)</t>
    </r>
  </si>
  <si>
    <t>Rat_s (%)
Ratio spatial 
de surface desservie</t>
  </si>
  <si>
    <t>Valeur en m²</t>
  </si>
  <si>
    <r>
      <t>Surface S</t>
    </r>
    <r>
      <rPr>
        <vertAlign val="subscript"/>
        <sz val="10"/>
        <color theme="1"/>
        <rFont val="Arial"/>
        <family val="2"/>
      </rPr>
      <t>C_bis</t>
    </r>
    <r>
      <rPr>
        <sz val="10"/>
        <color theme="1"/>
        <rFont val="Arial"/>
        <family val="2"/>
      </rPr>
      <t xml:space="preserve"> de la 
sous-partie C_bis</t>
    </r>
  </si>
  <si>
    <t>SHab (m²)</t>
  </si>
  <si>
    <t>Paramètre Rat_s et Rat_t 
par zone et par émetteur</t>
  </si>
  <si>
    <t>Emetteur complémentaire 4</t>
  </si>
  <si>
    <t xml:space="preserve">Rat_t (%)
Ratio temporel 
de part des besoins couverts </t>
  </si>
  <si>
    <t>« appareil indépendant 
de chauffage à bois »</t>
  </si>
  <si>
    <r>
      <t>« </t>
    </r>
    <r>
      <rPr>
        <b/>
        <sz val="10"/>
        <color rgb="FF0070C0"/>
        <rFont val="Arial"/>
        <family val="2"/>
      </rPr>
      <t>Conduit Echangeur Poujoulat</t>
    </r>
    <r>
      <rPr>
        <sz val="10"/>
        <color rgb="FF0070C0"/>
        <rFont val="Arial"/>
        <family val="2"/>
      </rPr>
      <t xml:space="preserve"> » </t>
    </r>
  </si>
  <si>
    <t>pour info</t>
  </si>
  <si>
    <t>Partie SdB et pièces d'eau</t>
  </si>
  <si>
    <t>Total A : Partie jour</t>
  </si>
  <si>
    <r>
      <t xml:space="preserve">0,50 - </t>
    </r>
    <r>
      <rPr>
        <b/>
        <sz val="11"/>
        <color theme="1"/>
        <rFont val="Cambria"/>
        <family val="1"/>
      </rPr>
      <t>Rat_t_Ech</t>
    </r>
  </si>
  <si>
    <r>
      <t xml:space="preserve">Parties jour et nuit &lt; 100 m² 
</t>
    </r>
    <r>
      <rPr>
        <b/>
        <sz val="10"/>
        <color theme="1"/>
        <rFont val="Arial"/>
        <family val="2"/>
      </rPr>
      <t>zones A et B</t>
    </r>
  </si>
  <si>
    <r>
      <t xml:space="preserve">Parties nuits distribuées 
</t>
    </r>
    <r>
      <rPr>
        <b/>
        <sz val="10"/>
        <color theme="1"/>
        <rFont val="Arial"/>
        <family val="2"/>
      </rPr>
      <t>zones B et C</t>
    </r>
  </si>
  <si>
    <r>
      <t xml:space="preserve">Partie nuit non distribuée 
</t>
    </r>
    <r>
      <rPr>
        <b/>
        <sz val="10"/>
        <color theme="1"/>
        <rFont val="Arial"/>
        <family val="2"/>
      </rPr>
      <t>zone C_bis</t>
    </r>
  </si>
  <si>
    <r>
      <t xml:space="preserve">Partie SdB et pièces d'eau 
</t>
    </r>
    <r>
      <rPr>
        <b/>
        <sz val="10"/>
        <color theme="1"/>
        <rFont val="Arial"/>
        <family val="2"/>
      </rPr>
      <t>zone D</t>
    </r>
  </si>
  <si>
    <t>Feuille uniquement valable pour un appareil à bois REGULE</t>
  </si>
  <si>
    <t>Total B : Partie nuit distribuée (A+B &lt; 100m²)</t>
  </si>
  <si>
    <t>SURFACES (m²)</t>
  </si>
  <si>
    <t>Pelec_R2E (en W)</t>
  </si>
  <si>
    <t>Pmoy_Ech (en kW)</t>
  </si>
  <si>
    <t>Rat_s_Ech (en %)</t>
  </si>
  <si>
    <t>Rat_t_Ech (en %)</t>
  </si>
  <si>
    <t>Pelec_VMC-DF (en W)</t>
  </si>
  <si>
    <t>Pelec_Modul-R (en W)</t>
  </si>
  <si>
    <t>Puissance de l'appoint BOOSTY (W)</t>
  </si>
  <si>
    <t>Pelec_aux_Ech (en W)</t>
  </si>
  <si>
    <t>Total C_bis : Partie nuit non distribuée d'air chaud</t>
  </si>
  <si>
    <t>Total D : Partie SdB et pièces d'eau</t>
  </si>
  <si>
    <t>Vérif A+B &lt; 100 m²</t>
  </si>
  <si>
    <t>Total des déperditions sur la zone nuit distribuée (B+C)</t>
  </si>
  <si>
    <t>DEPERDITIONS (W)</t>
  </si>
  <si>
    <t>Total C : Partie nuit complémentaire distribuée (A+B+C &gt; 100m²)</t>
  </si>
  <si>
    <t>Partie nuit complémentaire distribuée (A+B+C &gt; 100m²)</t>
  </si>
  <si>
    <t>Puissance moy Ech + appoint Boosty (en W)</t>
  </si>
  <si>
    <t>Rendement nominal de l'appareil</t>
  </si>
  <si>
    <t>Puissance nominale de l'appareil</t>
  </si>
  <si>
    <t>Température nominale des fumées*</t>
  </si>
  <si>
    <r>
      <rPr>
        <sz val="11"/>
        <color theme="1"/>
        <rFont val="Calibri"/>
        <family val="2"/>
        <scheme val="minor"/>
      </rPr>
      <t>Surface Habitable :</t>
    </r>
    <r>
      <rPr>
        <b/>
        <sz val="11"/>
        <color theme="1"/>
        <rFont val="Calibri"/>
        <family val="2"/>
        <scheme val="minor"/>
      </rPr>
      <t xml:space="preserve"> SHab</t>
    </r>
  </si>
  <si>
    <r>
      <rPr>
        <sz val="11"/>
        <color theme="1"/>
        <rFont val="Calibri"/>
        <family val="2"/>
        <scheme val="minor"/>
      </rPr>
      <t>Surface Hors Œuvre Net au sens RT :</t>
    </r>
    <r>
      <rPr>
        <b/>
        <sz val="11"/>
        <color theme="1"/>
        <rFont val="Calibri"/>
        <family val="2"/>
        <scheme val="minor"/>
      </rPr>
      <t xml:space="preserve"> SHON_RT</t>
    </r>
  </si>
  <si>
    <r>
      <t xml:space="preserve">Feuille d'aide à la saisie </t>
    </r>
    <r>
      <rPr>
        <b/>
        <sz val="14"/>
        <color theme="1"/>
        <rFont val="Calibri"/>
        <family val="2"/>
        <scheme val="minor"/>
      </rPr>
      <t>TitreV conduit échangeur air-air</t>
    </r>
    <r>
      <rPr>
        <sz val="14"/>
        <color theme="1"/>
        <rFont val="Calibri"/>
        <family val="2"/>
        <scheme val="minor"/>
      </rPr>
      <t xml:space="preserve"> pour appareil indépendant de chauffage au bois</t>
    </r>
  </si>
  <si>
    <t>Vérif SHab</t>
  </si>
  <si>
    <t>H2b</t>
  </si>
  <si>
    <t>Ch4</t>
  </si>
  <si>
    <t>H1a</t>
  </si>
  <si>
    <t>H1b</t>
  </si>
  <si>
    <t>H1c</t>
  </si>
  <si>
    <t>H2a</t>
  </si>
  <si>
    <t>H2d</t>
  </si>
  <si>
    <t>H3</t>
  </si>
  <si>
    <t>Granulés régulé</t>
  </si>
  <si>
    <t>nb. Ch</t>
  </si>
  <si>
    <t>Totales</t>
  </si>
  <si>
    <t>Surf. tot. zone distribuée en air chaud</t>
  </si>
  <si>
    <t>Important : toujours préciser ici le détail des surfaces de la partie C si elle existe !</t>
  </si>
  <si>
    <t>Palier</t>
  </si>
  <si>
    <t>Dressing 1</t>
  </si>
  <si>
    <t>Rgt+PL</t>
  </si>
  <si>
    <t>Hall+D1</t>
  </si>
  <si>
    <t>WC1</t>
  </si>
  <si>
    <t>SdE+WC2</t>
  </si>
  <si>
    <t>WC3</t>
  </si>
  <si>
    <t>Ch1+D2</t>
  </si>
  <si>
    <t>Salle TV</t>
  </si>
  <si>
    <t>v04</t>
  </si>
  <si>
    <t>Part du bois</t>
  </si>
  <si>
    <t>MONICA</t>
  </si>
  <si>
    <t>PIAZZETTA (SUPERIOR)</t>
  </si>
  <si>
    <t>TEST 218m²</t>
  </si>
  <si>
    <t>Ch2 à 4</t>
  </si>
  <si>
    <t>Remplir les 3 cases en bleu clair ssi pas de détail des déperditions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</si>
</sst>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0.0"/>
    <numFmt numFmtId="166" formatCode="General\ &quot;m²&quot;"/>
    <numFmt numFmtId="167" formatCode="General\ &quot;kW&quot;"/>
    <numFmt numFmtId="168" formatCode="General\ &quot;°C&quot;"/>
    <numFmt numFmtId="169" formatCode="General\ &quot;W&quot;"/>
    <numFmt numFmtId="170" formatCode="#,##0&quot; W disponibles&quot;"/>
    <numFmt numFmtId="171" formatCode="#,##0&quot; W à couvrir&quot;"/>
    <numFmt numFmtId="172" formatCode="#,##0&quot; W d'écart&quot;"/>
    <numFmt numFmtId="173" formatCode="General&quot; m²&quot;"/>
    <numFmt numFmtId="174" formatCode="0.00&quot; kW&quot;"/>
    <numFmt numFmtId="175" formatCode="[$-40C]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1"/>
      <color theme="1"/>
      <name val="Cambria"/>
      <family val="1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8" borderId="0" xfId="0" applyFill="1"/>
    <xf numFmtId="0" fontId="2" fillId="4" borderId="0" xfId="0" applyFont="1" applyFill="1" applyProtection="1"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164" fontId="0" fillId="8" borderId="13" xfId="1" applyNumberFormat="1" applyFont="1" applyFill="1" applyBorder="1" applyAlignment="1">
      <alignment horizontal="center" vertical="center" wrapText="1"/>
    </xf>
    <xf numFmtId="9" fontId="0" fillId="8" borderId="8" xfId="1" applyFont="1" applyFill="1" applyBorder="1" applyAlignment="1">
      <alignment horizontal="center"/>
    </xf>
    <xf numFmtId="164" fontId="0" fillId="8" borderId="8" xfId="1" applyNumberFormat="1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/>
    <xf numFmtId="0" fontId="2" fillId="8" borderId="0" xfId="0" applyFont="1" applyFill="1" applyAlignment="1">
      <alignment horizontal="left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2" fillId="5" borderId="0" xfId="0" applyFont="1" applyFill="1"/>
    <xf numFmtId="0" fontId="2" fillId="4" borderId="0" xfId="0" applyFont="1" applyFill="1"/>
    <xf numFmtId="0" fontId="0" fillId="3" borderId="0" xfId="0" applyFill="1"/>
    <xf numFmtId="0" fontId="2" fillId="8" borderId="0" xfId="0" applyFont="1" applyFill="1"/>
    <xf numFmtId="164" fontId="0" fillId="8" borderId="0" xfId="0" applyNumberFormat="1" applyFill="1" applyAlignment="1">
      <alignment horizontal="center"/>
    </xf>
    <xf numFmtId="164" fontId="0" fillId="8" borderId="0" xfId="1" applyNumberFormat="1" applyFont="1" applyFill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165" fontId="0" fillId="3" borderId="0" xfId="0" applyNumberFormat="1" applyFill="1" applyAlignment="1">
      <alignment horizontal="left"/>
    </xf>
    <xf numFmtId="166" fontId="0" fillId="8" borderId="1" xfId="0" applyNumberFormat="1" applyFill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7" fontId="2" fillId="5" borderId="0" xfId="0" applyNumberFormat="1" applyFont="1" applyFill="1" applyAlignment="1" applyProtection="1">
      <alignment horizontal="left"/>
      <protection locked="0"/>
    </xf>
    <xf numFmtId="168" fontId="2" fillId="4" borderId="0" xfId="0" applyNumberFormat="1" applyFont="1" applyFill="1" applyAlignment="1" applyProtection="1">
      <alignment horizontal="left"/>
      <protection locked="0"/>
    </xf>
    <xf numFmtId="169" fontId="0" fillId="0" borderId="0" xfId="0" applyNumberFormat="1"/>
    <xf numFmtId="166" fontId="2" fillId="5" borderId="0" xfId="0" applyNumberFormat="1" applyFont="1" applyFill="1" applyAlignment="1" applyProtection="1">
      <alignment horizontal="center"/>
      <protection locked="0"/>
    </xf>
    <xf numFmtId="170" fontId="0" fillId="8" borderId="0" xfId="0" applyNumberFormat="1" applyFill="1" applyAlignment="1">
      <alignment horizontal="center"/>
    </xf>
    <xf numFmtId="171" fontId="0" fillId="8" borderId="1" xfId="0" applyNumberFormat="1" applyFill="1" applyBorder="1" applyAlignment="1">
      <alignment horizontal="center"/>
    </xf>
    <xf numFmtId="172" fontId="0" fillId="0" borderId="0" xfId="0" applyNumberFormat="1" applyAlignment="1">
      <alignment horizontal="center"/>
    </xf>
    <xf numFmtId="1" fontId="10" fillId="8" borderId="0" xfId="0" applyNumberFormat="1" applyFont="1" applyFill="1" applyAlignment="1">
      <alignment horizontal="left"/>
    </xf>
    <xf numFmtId="0" fontId="2" fillId="8" borderId="0" xfId="0" applyFont="1" applyFill="1" applyProtection="1">
      <protection locked="0"/>
    </xf>
    <xf numFmtId="0" fontId="2" fillId="8" borderId="0" xfId="0" applyFont="1" applyFill="1" applyAlignment="1" applyProtection="1">
      <alignment horizontal="left"/>
      <protection locked="0"/>
    </xf>
    <xf numFmtId="164" fontId="2" fillId="8" borderId="0" xfId="1" applyNumberFormat="1" applyFont="1" applyFill="1" applyAlignment="1" applyProtection="1">
      <alignment horizontal="left"/>
      <protection locked="0"/>
    </xf>
    <xf numFmtId="173" fontId="4" fillId="8" borderId="8" xfId="0" applyNumberFormat="1" applyFont="1" applyFill="1" applyBorder="1" applyAlignment="1">
      <alignment horizontal="center" vertical="center" wrapText="1"/>
    </xf>
    <xf numFmtId="169" fontId="2" fillId="5" borderId="0" xfId="0" applyNumberFormat="1" applyFont="1" applyFill="1" applyAlignment="1" applyProtection="1">
      <alignment horizontal="center"/>
      <protection locked="0"/>
    </xf>
    <xf numFmtId="169" fontId="2" fillId="8" borderId="0" xfId="0" applyNumberFormat="1" applyFont="1" applyFill="1" applyAlignment="1" applyProtection="1">
      <alignment horizontal="left"/>
      <protection locked="0"/>
    </xf>
    <xf numFmtId="169" fontId="0" fillId="6" borderId="0" xfId="0" applyNumberFormat="1" applyFill="1" applyAlignment="1">
      <alignment horizontal="left"/>
    </xf>
    <xf numFmtId="174" fontId="0" fillId="3" borderId="0" xfId="0" applyNumberFormat="1" applyFill="1" applyAlignment="1">
      <alignment horizontal="left"/>
    </xf>
    <xf numFmtId="0" fontId="2" fillId="5" borderId="0" xfId="0" applyFont="1" applyFill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right"/>
    </xf>
    <xf numFmtId="175" fontId="13" fillId="8" borderId="0" xfId="0" applyNumberFormat="1" applyFont="1" applyFill="1"/>
    <xf numFmtId="0" fontId="0" fillId="9" borderId="0" xfId="0" applyFill="1" applyAlignment="1" applyProtection="1">
      <alignment horizontal="center"/>
      <protection locked="0"/>
    </xf>
    <xf numFmtId="166" fontId="2" fillId="9" borderId="0" xfId="0" applyNumberFormat="1" applyFont="1" applyFill="1" applyAlignment="1" applyProtection="1">
      <alignment horizontal="center"/>
      <protection locked="0"/>
    </xf>
    <xf numFmtId="169" fontId="2" fillId="9" borderId="0" xfId="0" applyNumberFormat="1" applyFont="1" applyFill="1" applyAlignment="1" applyProtection="1">
      <alignment horizontal="center"/>
      <protection locked="0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left" vertical="center"/>
    </xf>
    <xf numFmtId="166" fontId="2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left"/>
    </xf>
    <xf numFmtId="164" fontId="0" fillId="10" borderId="0" xfId="1" applyNumberFormat="1" applyFont="1" applyFill="1" applyAlignment="1">
      <alignment horizontal="center"/>
    </xf>
    <xf numFmtId="0" fontId="0" fillId="8" borderId="0" xfId="0" applyFill="1" applyProtection="1">
      <protection locked="0"/>
    </xf>
    <xf numFmtId="165" fontId="0" fillId="8" borderId="0" xfId="0" applyNumberFormat="1" applyFill="1" applyProtection="1">
      <protection locked="0"/>
    </xf>
    <xf numFmtId="0" fontId="11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173" fontId="4" fillId="8" borderId="6" xfId="0" applyNumberFormat="1" applyFont="1" applyFill="1" applyBorder="1" applyAlignment="1">
      <alignment horizontal="center" vertical="center"/>
    </xf>
    <xf numFmtId="173" fontId="4" fillId="8" borderId="10" xfId="0" applyNumberFormat="1" applyFont="1" applyFill="1" applyBorder="1" applyAlignment="1">
      <alignment horizontal="center" vertical="center"/>
    </xf>
    <xf numFmtId="173" fontId="4" fillId="8" borderId="7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173" fontId="4" fillId="8" borderId="6" xfId="0" applyNumberFormat="1" applyFont="1" applyFill="1" applyBorder="1" applyAlignment="1">
      <alignment horizontal="center" vertical="center" wrapText="1"/>
    </xf>
    <xf numFmtId="173" fontId="4" fillId="8" borderId="7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2">
    <dxf>
      <font>
        <b/>
        <i val="0"/>
        <color rgb="FF00B05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468311</xdr:colOff>
      <xdr:row>1</xdr:row>
      <xdr:rowOff>0</xdr:rowOff>
    </xdr:from>
    <xdr:to>
      <xdr:col>13</xdr:col>
      <xdr:colOff>83879</xdr:colOff>
      <xdr:row>3</xdr:row>
      <xdr:rowOff>2018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36C5492-0017-4EB8-8790-58BD3636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99" y="381000"/>
          <a:ext cx="1241168" cy="3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0</xdr:row>
      <xdr:rowOff>119063</xdr:rowOff>
    </xdr:from>
    <xdr:to>
      <xdr:col>10</xdr:col>
      <xdr:colOff>698023</xdr:colOff>
      <xdr:row>3</xdr:row>
      <xdr:rowOff>92938</xdr:rowOff>
    </xdr:to>
    <xdr:pic>
      <xdr:nvPicPr>
        <xdr:cNvPr id="10" name="Image 9" descr="logo août 2007">
          <a:extLst>
            <a:ext uri="{FF2B5EF4-FFF2-40B4-BE49-F238E27FC236}">
              <a16:creationId xmlns:a16="http://schemas.microsoft.com/office/drawing/2014/main" id="{D24D1087-D5F0-456B-A6BC-CB58E7CFD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6" y="119063"/>
          <a:ext cx="1325085" cy="720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14</xdr:col>
      <xdr:colOff>274062</xdr:colOff>
      <xdr:row>17</xdr:row>
      <xdr:rowOff>117750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D56E49-14F7-4BF8-B628-4B6770064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354"/>
        <a:stretch/>
      </xdr:blipFill>
      <xdr:spPr bwMode="auto">
        <a:xfrm>
          <a:off x="8724900" y="368300"/>
          <a:ext cx="3322062" cy="28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="80" zoomScaleNormal="80" workbookViewId="0">
      <selection activeCell="C11" sqref="C11"/>
    </sheetView>
  </sheetViews>
  <sheetFormatPr baseColWidth="10" defaultColWidth="10.81640625" defaultRowHeight="14.5" x14ac:dyDescent="0.35"/>
  <cols>
    <col min="1" max="1" width="4.7265625" customWidth="1"/>
    <col min="2" max="2" width="36.7265625" customWidth="1"/>
    <col min="3" max="3" width="21.26953125" customWidth="1"/>
    <col min="4" max="4" width="6.26953125" customWidth="1"/>
    <col min="5" max="6" width="3.26953125" customWidth="1"/>
    <col min="7" max="7" width="10.453125" customWidth="1"/>
    <col min="8" max="8" width="56.453125" customWidth="1"/>
    <col min="9" max="12" width="10.7265625" customWidth="1"/>
    <col min="13" max="13" width="12.54296875" customWidth="1"/>
    <col min="14" max="14" width="10.7265625" customWidth="1"/>
    <col min="15" max="15" width="3.7265625" customWidth="1"/>
  </cols>
  <sheetData>
    <row r="1" spans="1:15" s="21" customFormat="1" ht="30" customHeight="1" x14ac:dyDescent="0.35">
      <c r="A1" s="20"/>
      <c r="B1" s="69" t="s">
        <v>131</v>
      </c>
      <c r="C1" s="69"/>
      <c r="D1" s="69"/>
      <c r="E1" s="69"/>
      <c r="F1" s="69"/>
      <c r="G1" s="69"/>
      <c r="H1" s="69"/>
      <c r="I1" s="20"/>
      <c r="J1" s="20"/>
      <c r="K1" s="20"/>
      <c r="L1" s="20"/>
      <c r="M1" s="20"/>
      <c r="N1" s="20"/>
      <c r="O1" s="20"/>
    </row>
    <row r="2" spans="1:15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5">
      <c r="A3" s="5"/>
      <c r="B3" s="22" t="s">
        <v>37</v>
      </c>
      <c r="C3" s="23" t="s">
        <v>36</v>
      </c>
      <c r="D3" s="5"/>
      <c r="E3" s="5"/>
      <c r="F3" s="5"/>
      <c r="G3" s="24" t="s">
        <v>67</v>
      </c>
      <c r="H3" s="5"/>
      <c r="I3" s="5"/>
      <c r="J3" s="5"/>
      <c r="K3" s="5"/>
      <c r="L3" s="5"/>
      <c r="M3" s="5"/>
      <c r="N3" s="5"/>
      <c r="O3" s="5"/>
    </row>
    <row r="4" spans="1:15" x14ac:dyDescent="0.35">
      <c r="A4" s="5"/>
      <c r="B4" s="32" t="s">
        <v>25</v>
      </c>
      <c r="C4" s="5" t="s">
        <v>99</v>
      </c>
      <c r="D4" s="5"/>
      <c r="E4" s="5"/>
      <c r="F4" s="5"/>
      <c r="G4" s="25" t="s">
        <v>63</v>
      </c>
      <c r="H4" s="5" t="s">
        <v>68</v>
      </c>
      <c r="I4" s="5"/>
      <c r="J4" s="5"/>
      <c r="K4" s="5"/>
      <c r="L4" s="5"/>
      <c r="M4" s="5"/>
      <c r="N4" s="5"/>
      <c r="O4" s="5"/>
    </row>
    <row r="5" spans="1:15" x14ac:dyDescent="0.35">
      <c r="A5" s="5"/>
      <c r="B5" s="26" t="s">
        <v>26</v>
      </c>
      <c r="C5" s="5" t="s">
        <v>34</v>
      </c>
      <c r="D5" s="5"/>
      <c r="E5" s="5"/>
      <c r="F5" s="5"/>
      <c r="G5" s="25" t="s">
        <v>64</v>
      </c>
      <c r="H5" s="5" t="s">
        <v>69</v>
      </c>
      <c r="I5" s="5"/>
      <c r="J5" s="5"/>
      <c r="K5" s="5"/>
      <c r="L5" s="58"/>
      <c r="M5" s="57" t="s">
        <v>155</v>
      </c>
      <c r="N5" s="5"/>
      <c r="O5" s="5"/>
    </row>
    <row r="6" spans="1:15" x14ac:dyDescent="0.35">
      <c r="A6" s="5"/>
      <c r="B6" s="27" t="s">
        <v>27</v>
      </c>
      <c r="C6" s="5" t="s">
        <v>35</v>
      </c>
      <c r="D6" s="5"/>
      <c r="E6" s="5"/>
      <c r="F6" s="5"/>
      <c r="G6" s="25" t="s">
        <v>66</v>
      </c>
      <c r="H6" s="5" t="s">
        <v>124</v>
      </c>
      <c r="I6" s="5"/>
      <c r="J6" s="5"/>
      <c r="K6" s="5"/>
      <c r="L6" s="5"/>
      <c r="M6" s="5"/>
      <c r="N6" s="5"/>
      <c r="O6" s="5"/>
    </row>
    <row r="7" spans="1:15" x14ac:dyDescent="0.35">
      <c r="A7" s="5"/>
      <c r="B7" s="2" t="s">
        <v>29</v>
      </c>
      <c r="C7" s="5" t="s">
        <v>59</v>
      </c>
      <c r="D7" s="5"/>
      <c r="E7" s="5"/>
      <c r="F7" s="5"/>
      <c r="G7" s="25" t="s">
        <v>71</v>
      </c>
      <c r="H7" s="5" t="s">
        <v>70</v>
      </c>
      <c r="I7" s="5"/>
      <c r="J7" s="5"/>
      <c r="K7" s="5"/>
      <c r="L7" s="5"/>
      <c r="M7" s="5"/>
      <c r="N7" s="5"/>
      <c r="O7" s="5"/>
    </row>
    <row r="8" spans="1:15" x14ac:dyDescent="0.35">
      <c r="A8" s="5"/>
      <c r="B8" s="28" t="s">
        <v>28</v>
      </c>
      <c r="C8" s="5" t="s">
        <v>60</v>
      </c>
      <c r="D8" s="5"/>
      <c r="E8" s="5"/>
      <c r="F8" s="5"/>
      <c r="G8" s="25" t="s">
        <v>65</v>
      </c>
      <c r="H8" s="5" t="s">
        <v>100</v>
      </c>
      <c r="I8" s="5"/>
      <c r="J8" s="5"/>
      <c r="K8" s="5"/>
      <c r="L8" s="5"/>
      <c r="M8" s="5"/>
      <c r="N8" s="5"/>
      <c r="O8" s="5"/>
    </row>
    <row r="9" spans="1:15" x14ac:dyDescent="0.35">
      <c r="A9" s="5"/>
      <c r="B9" s="5"/>
      <c r="C9" s="5"/>
      <c r="D9" s="5"/>
      <c r="E9" s="5"/>
      <c r="F9" s="5"/>
      <c r="G9" s="5"/>
      <c r="H9" s="5"/>
      <c r="I9" s="5" t="s">
        <v>156</v>
      </c>
      <c r="J9" s="5"/>
      <c r="K9" s="5"/>
      <c r="L9" s="5"/>
      <c r="M9" s="5"/>
      <c r="N9" s="5"/>
      <c r="O9" s="5"/>
    </row>
    <row r="10" spans="1:15" x14ac:dyDescent="0.35">
      <c r="A10" s="5"/>
      <c r="B10" s="22" t="s">
        <v>13</v>
      </c>
      <c r="C10" s="5"/>
      <c r="D10" s="5"/>
      <c r="E10" s="5"/>
      <c r="F10" s="5"/>
      <c r="G10" s="25"/>
      <c r="H10" s="22" t="s">
        <v>109</v>
      </c>
      <c r="I10" s="66">
        <f>(1*H17+C44*(H21+H25))/I12</f>
        <v>0.50438824961659467</v>
      </c>
      <c r="J10" s="65" t="str">
        <f>IF(I10&gt;0.5,"bois en PRINCIPAL","bois en APPOINT")</f>
        <v>bois en PRINCIPAL</v>
      </c>
      <c r="K10" s="5"/>
      <c r="L10" s="5"/>
      <c r="M10" s="5"/>
      <c r="N10" s="5"/>
      <c r="O10" s="5"/>
    </row>
    <row r="11" spans="1:15" x14ac:dyDescent="0.35">
      <c r="A11" s="5"/>
      <c r="B11" s="29" t="s">
        <v>1</v>
      </c>
      <c r="C11" s="46" t="s">
        <v>159</v>
      </c>
      <c r="D11" s="5"/>
      <c r="E11" s="5"/>
      <c r="F11" s="5"/>
      <c r="G11" s="25"/>
      <c r="H11" s="5"/>
      <c r="I11" s="5"/>
      <c r="J11" s="5"/>
      <c r="K11" s="5"/>
      <c r="L11" s="5"/>
      <c r="M11" s="25" t="str">
        <f>IF(M12="Calcul global","",IF(ABS(I12-M12)/I12&lt;0.05,"OK","Vérifier SHab"))</f>
        <v>OK</v>
      </c>
      <c r="N11" s="5"/>
      <c r="O11" s="5"/>
    </row>
    <row r="12" spans="1:15" x14ac:dyDescent="0.35">
      <c r="A12" s="5"/>
      <c r="B12" s="29" t="s">
        <v>2</v>
      </c>
      <c r="C12" s="46"/>
      <c r="D12" s="5"/>
      <c r="E12" s="5"/>
      <c r="F12" s="5"/>
      <c r="G12" s="25"/>
      <c r="H12" s="29" t="s">
        <v>129</v>
      </c>
      <c r="I12" s="41">
        <v>218.1</v>
      </c>
      <c r="J12" s="5"/>
      <c r="K12" s="70" t="s">
        <v>132</v>
      </c>
      <c r="L12" s="70"/>
      <c r="M12" s="37">
        <f>IF(H17&lt;&gt;0,H17+H21+H25+H29+H33,"Calcul global")</f>
        <v>218.1</v>
      </c>
      <c r="N12" s="30">
        <f>H18+H22+H26+H30+H34</f>
        <v>1</v>
      </c>
      <c r="O12" s="5"/>
    </row>
    <row r="13" spans="1:15" x14ac:dyDescent="0.35">
      <c r="A13" s="5"/>
      <c r="B13" s="29" t="s">
        <v>5</v>
      </c>
      <c r="C13" s="47"/>
      <c r="D13" s="5"/>
      <c r="E13" s="5"/>
      <c r="F13" s="5"/>
      <c r="G13" s="25"/>
      <c r="H13" s="29" t="s">
        <v>130</v>
      </c>
      <c r="I13" s="41">
        <v>269.64999999999998</v>
      </c>
      <c r="J13" s="5"/>
      <c r="K13" s="70" t="s">
        <v>120</v>
      </c>
      <c r="L13" s="70"/>
      <c r="M13" s="37">
        <f>H17+H21</f>
        <v>96</v>
      </c>
      <c r="N13" s="31">
        <f>M13/M12</f>
        <v>0.44016506189821186</v>
      </c>
      <c r="O13" s="5"/>
    </row>
    <row r="14" spans="1:15" x14ac:dyDescent="0.35">
      <c r="A14" s="5"/>
      <c r="B14" s="29" t="s">
        <v>3</v>
      </c>
      <c r="C14" s="46" t="s">
        <v>133</v>
      </c>
      <c r="D14" s="5"/>
      <c r="E14" s="5"/>
      <c r="F14" s="5"/>
      <c r="G14" s="25"/>
      <c r="H14" s="5"/>
      <c r="I14" s="5"/>
      <c r="J14" s="5"/>
      <c r="K14" s="5"/>
      <c r="L14" s="5"/>
      <c r="M14" s="25" t="str">
        <f>IF(M13&lt;=100,"OK","Vérifier A+B")</f>
        <v>OK</v>
      </c>
      <c r="N14" s="5"/>
      <c r="O14" s="5"/>
    </row>
    <row r="15" spans="1:15" x14ac:dyDescent="0.35">
      <c r="A15" s="5"/>
      <c r="B15" s="5"/>
      <c r="C15" s="5"/>
      <c r="D15" s="5"/>
      <c r="E15" s="5"/>
      <c r="F15" s="5"/>
      <c r="G15" s="25"/>
      <c r="H15" s="5"/>
      <c r="I15" s="5"/>
      <c r="J15" s="5"/>
      <c r="K15" s="5"/>
      <c r="L15" s="5"/>
      <c r="M15" s="5"/>
      <c r="N15" s="5"/>
      <c r="O15" s="5"/>
    </row>
    <row r="16" spans="1:15" ht="15" thickBot="1" x14ac:dyDescent="0.4">
      <c r="A16" s="5"/>
      <c r="B16" s="22" t="s">
        <v>15</v>
      </c>
      <c r="C16" s="5"/>
      <c r="D16" s="5"/>
      <c r="E16" s="5"/>
      <c r="F16" s="5"/>
      <c r="G16" s="25"/>
      <c r="H16" s="29" t="s">
        <v>101</v>
      </c>
      <c r="I16" s="59" t="s">
        <v>146</v>
      </c>
      <c r="J16" s="59" t="s">
        <v>42</v>
      </c>
      <c r="K16" s="59" t="s">
        <v>47</v>
      </c>
      <c r="L16" s="59" t="s">
        <v>0</v>
      </c>
      <c r="M16" s="59" t="s">
        <v>147</v>
      </c>
      <c r="N16" s="59" t="s">
        <v>43</v>
      </c>
      <c r="O16" s="5"/>
    </row>
    <row r="17" spans="1:15" ht="15" thickBot="1" x14ac:dyDescent="0.4">
      <c r="A17" s="5"/>
      <c r="B17" s="29" t="s">
        <v>14</v>
      </c>
      <c r="C17" s="46" t="s">
        <v>141</v>
      </c>
      <c r="D17" s="5"/>
      <c r="E17" s="5"/>
      <c r="F17" s="5"/>
      <c r="G17" s="25"/>
      <c r="H17" s="36">
        <f>SUM(I17:N17)</f>
        <v>96</v>
      </c>
      <c r="I17" s="60">
        <v>12</v>
      </c>
      <c r="J17" s="60">
        <v>50.1</v>
      </c>
      <c r="K17" s="60">
        <v>21</v>
      </c>
      <c r="L17" s="60">
        <v>12.9</v>
      </c>
      <c r="M17" s="60"/>
      <c r="N17" s="60"/>
      <c r="O17" s="5"/>
    </row>
    <row r="18" spans="1:15" x14ac:dyDescent="0.35">
      <c r="A18" s="5"/>
      <c r="B18" s="29" t="s">
        <v>6</v>
      </c>
      <c r="C18" s="46" t="s">
        <v>158</v>
      </c>
      <c r="D18" s="67"/>
      <c r="E18" s="5"/>
      <c r="F18" s="5"/>
      <c r="G18" s="25"/>
      <c r="H18" s="31">
        <f>H17/$M$12</f>
        <v>0.44016506189821186</v>
      </c>
      <c r="I18" s="25"/>
      <c r="J18" s="25"/>
      <c r="K18" s="25"/>
      <c r="L18" s="25"/>
      <c r="M18" s="25"/>
      <c r="N18" s="5"/>
      <c r="O18" s="5"/>
    </row>
    <row r="19" spans="1:15" x14ac:dyDescent="0.35">
      <c r="A19" s="5"/>
      <c r="B19" s="29" t="s">
        <v>7</v>
      </c>
      <c r="C19" s="46" t="s">
        <v>157</v>
      </c>
      <c r="D19" s="67"/>
      <c r="E19" s="5"/>
      <c r="F19" s="5"/>
      <c r="G19" s="25"/>
      <c r="H19" s="5"/>
      <c r="I19" s="5"/>
      <c r="J19" s="5"/>
      <c r="K19" s="5"/>
      <c r="L19" s="5"/>
      <c r="M19" s="5"/>
      <c r="N19" s="5"/>
      <c r="O19" s="5"/>
    </row>
    <row r="20" spans="1:15" ht="15" thickBot="1" x14ac:dyDescent="0.4">
      <c r="A20" s="5"/>
      <c r="B20" s="29" t="s">
        <v>126</v>
      </c>
      <c r="C20" s="48">
        <v>0.89</v>
      </c>
      <c r="D20" s="67"/>
      <c r="E20" s="5"/>
      <c r="F20" s="5"/>
      <c r="G20" s="25"/>
      <c r="H20" s="29" t="s">
        <v>108</v>
      </c>
      <c r="I20" s="59"/>
      <c r="J20" s="59"/>
      <c r="K20" s="59"/>
      <c r="L20" s="59"/>
      <c r="M20" s="25"/>
      <c r="N20" s="25"/>
      <c r="O20" s="5"/>
    </row>
    <row r="21" spans="1:15" ht="15" thickBot="1" x14ac:dyDescent="0.4">
      <c r="A21" s="5"/>
      <c r="B21" s="29" t="s">
        <v>127</v>
      </c>
      <c r="C21" s="38">
        <v>8.5</v>
      </c>
      <c r="D21" s="68"/>
      <c r="E21" s="5"/>
      <c r="F21" s="5"/>
      <c r="G21" s="25"/>
      <c r="H21" s="36">
        <f>SUM(I21:L21)</f>
        <v>0</v>
      </c>
      <c r="I21" s="60"/>
      <c r="J21" s="60"/>
      <c r="K21" s="60"/>
      <c r="L21" s="60"/>
      <c r="M21" s="24"/>
      <c r="N21" s="29"/>
      <c r="O21" s="5"/>
    </row>
    <row r="22" spans="1:15" x14ac:dyDescent="0.35">
      <c r="A22" s="5"/>
      <c r="B22" s="29" t="s">
        <v>128</v>
      </c>
      <c r="C22" s="39">
        <v>194.2</v>
      </c>
      <c r="D22" s="67"/>
      <c r="E22" s="5"/>
      <c r="F22" s="5"/>
      <c r="G22" s="25"/>
      <c r="H22" s="31">
        <f>H21/$M$12</f>
        <v>0</v>
      </c>
      <c r="I22" s="31"/>
      <c r="J22" s="31"/>
      <c r="K22" s="31"/>
      <c r="L22" s="31"/>
      <c r="M22" s="31"/>
      <c r="N22" s="31"/>
      <c r="O22" s="5"/>
    </row>
    <row r="23" spans="1:15" x14ac:dyDescent="0.35">
      <c r="A23" s="5"/>
      <c r="B23" s="5" t="s">
        <v>58</v>
      </c>
      <c r="C23" s="5"/>
      <c r="D23" s="5"/>
      <c r="E23" s="5"/>
      <c r="F23" s="5"/>
      <c r="G23" s="25"/>
      <c r="H23" s="5"/>
      <c r="I23" s="63" t="s">
        <v>145</v>
      </c>
      <c r="J23" s="5"/>
      <c r="K23" s="5"/>
      <c r="L23" s="5"/>
      <c r="M23" s="5"/>
      <c r="N23" s="5"/>
      <c r="O23" s="5"/>
    </row>
    <row r="24" spans="1:15" ht="15" customHeight="1" thickBot="1" x14ac:dyDescent="0.4">
      <c r="A24" s="5"/>
      <c r="B24" s="5"/>
      <c r="C24" s="5"/>
      <c r="D24" s="5"/>
      <c r="E24" s="5"/>
      <c r="F24" s="5"/>
      <c r="G24" s="25"/>
      <c r="H24" s="32" t="s">
        <v>123</v>
      </c>
      <c r="I24" s="18" t="s">
        <v>160</v>
      </c>
      <c r="J24" s="18"/>
      <c r="K24" s="18"/>
      <c r="L24" s="18"/>
      <c r="M24" s="62"/>
      <c r="N24" s="62"/>
      <c r="O24" s="5"/>
    </row>
    <row r="25" spans="1:15" ht="15" thickBot="1" x14ac:dyDescent="0.4">
      <c r="A25" s="5"/>
      <c r="B25" s="22" t="s">
        <v>8</v>
      </c>
      <c r="D25" s="5"/>
      <c r="E25" s="5"/>
      <c r="F25" s="5"/>
      <c r="G25" s="25"/>
      <c r="H25" s="36">
        <f>SUM(I25:L25)</f>
        <v>37</v>
      </c>
      <c r="I25" s="41">
        <v>37</v>
      </c>
      <c r="J25" s="41"/>
      <c r="K25" s="41"/>
      <c r="L25" s="41"/>
      <c r="M25" s="62"/>
      <c r="N25" s="62"/>
      <c r="O25" s="5"/>
    </row>
    <row r="26" spans="1:15" x14ac:dyDescent="0.35">
      <c r="A26" s="5"/>
      <c r="B26" s="29" t="s">
        <v>9</v>
      </c>
      <c r="C26" s="6" t="s">
        <v>10</v>
      </c>
      <c r="D26" s="5"/>
      <c r="E26" s="5"/>
      <c r="F26" s="5"/>
      <c r="G26" s="25"/>
      <c r="H26" s="31">
        <f>H25/$M$12</f>
        <v>0.16964695093993581</v>
      </c>
      <c r="I26" s="5"/>
      <c r="J26" s="5"/>
      <c r="K26" s="5"/>
      <c r="L26" s="5"/>
      <c r="M26" s="5"/>
      <c r="N26" s="5"/>
      <c r="O26" s="5"/>
    </row>
    <row r="27" spans="1:15" x14ac:dyDescent="0.35">
      <c r="A27" s="5"/>
      <c r="B27" s="29" t="s">
        <v>20</v>
      </c>
      <c r="C27" s="6" t="s">
        <v>19</v>
      </c>
      <c r="D27" s="5"/>
      <c r="E27" s="5"/>
      <c r="F27" s="5"/>
      <c r="G27" s="25"/>
      <c r="H27" s="5"/>
      <c r="I27" s="5"/>
      <c r="J27" s="5"/>
      <c r="K27" s="5"/>
      <c r="L27" s="5"/>
      <c r="M27" s="5"/>
      <c r="N27" s="5"/>
      <c r="O27" s="5"/>
    </row>
    <row r="28" spans="1:15" ht="15" thickBot="1" x14ac:dyDescent="0.4">
      <c r="A28" s="5"/>
      <c r="B28" s="29" t="s">
        <v>16</v>
      </c>
      <c r="C28" s="46" t="s">
        <v>38</v>
      </c>
      <c r="D28" s="5"/>
      <c r="E28" s="5"/>
      <c r="F28" s="5"/>
      <c r="G28" s="25"/>
      <c r="H28" s="29" t="s">
        <v>118</v>
      </c>
      <c r="I28" s="59" t="s">
        <v>149</v>
      </c>
      <c r="J28" s="59" t="s">
        <v>153</v>
      </c>
      <c r="K28" s="59" t="s">
        <v>154</v>
      </c>
      <c r="L28" s="59" t="s">
        <v>148</v>
      </c>
      <c r="M28" s="59" t="s">
        <v>43</v>
      </c>
      <c r="N28" s="59" t="s">
        <v>43</v>
      </c>
      <c r="O28" s="5"/>
    </row>
    <row r="29" spans="1:15" ht="15" thickBot="1" x14ac:dyDescent="0.4">
      <c r="A29" s="5"/>
      <c r="B29" s="29" t="s">
        <v>116</v>
      </c>
      <c r="C29" s="51">
        <v>1800</v>
      </c>
      <c r="D29" s="5"/>
      <c r="E29" s="5"/>
      <c r="F29" s="5"/>
      <c r="G29" s="5"/>
      <c r="H29" s="36">
        <f>SUM(I29:N29)</f>
        <v>66.2</v>
      </c>
      <c r="I29" s="60">
        <v>8.9</v>
      </c>
      <c r="J29" s="60">
        <v>20.5</v>
      </c>
      <c r="K29" s="60">
        <v>19</v>
      </c>
      <c r="L29" s="60">
        <v>17.8</v>
      </c>
      <c r="M29" s="60"/>
      <c r="N29" s="60"/>
      <c r="O29" s="5"/>
    </row>
    <row r="30" spans="1:15" x14ac:dyDescent="0.35">
      <c r="A30" s="5"/>
      <c r="B30" s="5"/>
      <c r="C30" s="5"/>
      <c r="D30" s="5"/>
      <c r="E30" s="5"/>
      <c r="F30" s="5"/>
      <c r="G30" s="5"/>
      <c r="H30" s="31">
        <f>H29/$M$12</f>
        <v>0.30353049060064191</v>
      </c>
      <c r="I30" s="5"/>
      <c r="J30" s="5"/>
      <c r="K30" s="5"/>
      <c r="L30" s="5"/>
      <c r="M30" s="5"/>
      <c r="N30" s="5"/>
      <c r="O30" s="5"/>
    </row>
    <row r="31" spans="1:15" x14ac:dyDescent="0.35">
      <c r="A31" s="5"/>
      <c r="B31" s="22" t="s">
        <v>49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" thickBot="1" x14ac:dyDescent="0.4">
      <c r="A32" s="5"/>
      <c r="B32" s="29" t="s">
        <v>21</v>
      </c>
      <c r="C32" s="33">
        <f>IF(C27="Ech TI",IF(AND(C21&lt;=12,C21&gt;8),Feuil2!G15,IF(AND(C21&lt;=8,C21&gt;=6),Feuil2!E15,IF(AND(C21&lt;6,C21&gt;=3),Feuil2!C15,"no"))),IF(C27="Ech IG",IF(AND(C21&lt;=12,C21&gt;8),Feuil2!G16,IF(AND(C21&lt;=8,C21&gt;=6),Feuil2!E16,IF(AND(C21&lt;6,C21&gt;=3),Feuil2!C16,"no"))),IF(C27="Ech PGI",IF(AND(C21&lt;=12,C21&gt;8),Feuil2!G17,IF(AND(C21&lt;=8,C21&gt;=6),Feuil2!E17,IF(AND(C21&lt;6,C21&gt;=3),Feuil2!C17,"no"))),"")))</f>
        <v>2.9239999999999999</v>
      </c>
      <c r="D32" s="5"/>
      <c r="E32" s="5"/>
      <c r="F32" s="5"/>
      <c r="G32" s="5"/>
      <c r="H32" s="29" t="s">
        <v>119</v>
      </c>
      <c r="I32" s="59" t="s">
        <v>150</v>
      </c>
      <c r="J32" s="59" t="s">
        <v>151</v>
      </c>
      <c r="K32" s="59" t="s">
        <v>152</v>
      </c>
      <c r="L32" s="59" t="s">
        <v>44</v>
      </c>
      <c r="M32" s="59" t="s">
        <v>43</v>
      </c>
      <c r="N32" s="59" t="s">
        <v>43</v>
      </c>
      <c r="O32" s="5"/>
    </row>
    <row r="33" spans="1:15" ht="15" thickBot="1" x14ac:dyDescent="0.4">
      <c r="A33" s="5"/>
      <c r="B33" s="29" t="s">
        <v>22</v>
      </c>
      <c r="C33" s="33">
        <f>IF(C27="Ech TI",IF(AND(C21&lt;=12,C21&gt;8),Feuil2!H15,IF(AND(C21&lt;=8,C21&gt;=6),Feuil2!F15,IF(AND(C21&lt;6,C21&gt;=3),Feuil2!D15,"no"))),IF(C27="Ech IG",IF(AND(C21&lt;=12,C21&gt;8),Feuil2!H16,IF(AND(C21&lt;=8,C21&gt;=6),Feuil2!F16,IF(AND(C21&lt;6,C21&gt;=3),Feuil2!D16,"no"))),IF(C27="Ech PGI",IF(AND(C21&lt;=12,C21&gt;8),Feuil2!H17,IF(AND(C21&lt;=8,C21&gt;=6),Feuil2!F17,IF(AND(C21&lt;6,C21&gt;=3),Feuil2!D17,"no"))),"")))</f>
        <v>128.69999999999999</v>
      </c>
      <c r="D33" s="5"/>
      <c r="E33" s="5"/>
      <c r="F33" s="5"/>
      <c r="G33" s="5"/>
      <c r="H33" s="36">
        <f>SUM(I33:L33)</f>
        <v>18.899999999999999</v>
      </c>
      <c r="I33" s="60">
        <v>1.9</v>
      </c>
      <c r="J33" s="60">
        <v>7.5</v>
      </c>
      <c r="K33" s="60">
        <v>1.4</v>
      </c>
      <c r="L33" s="60">
        <v>8.1</v>
      </c>
      <c r="M33" s="60"/>
      <c r="N33" s="60"/>
      <c r="O33" s="5"/>
    </row>
    <row r="34" spans="1:15" x14ac:dyDescent="0.35">
      <c r="A34" s="5"/>
      <c r="B34" s="29" t="s">
        <v>61</v>
      </c>
      <c r="C34" s="33">
        <f>IF(J38&lt;&gt;"",J38,COUNT(I41:L41))</f>
        <v>3</v>
      </c>
      <c r="D34" s="5"/>
      <c r="E34" s="5"/>
      <c r="F34" s="5"/>
      <c r="G34" s="5"/>
      <c r="H34" s="31">
        <f>H33/$M$12</f>
        <v>8.6657496561210454E-2</v>
      </c>
      <c r="I34" s="5"/>
      <c r="J34" s="5"/>
      <c r="K34" s="5"/>
      <c r="L34" s="5"/>
      <c r="M34" s="5"/>
      <c r="N34" s="5"/>
      <c r="O34" s="5"/>
    </row>
    <row r="35" spans="1:15" x14ac:dyDescent="0.35">
      <c r="A35" s="5"/>
      <c r="B35" s="5" t="s">
        <v>62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5">
      <c r="A37" s="5"/>
      <c r="B37" s="5" t="s">
        <v>110</v>
      </c>
      <c r="C37" s="52">
        <f>IF(C26="CONFORT+",IF(C34=2,Feuil2!C28,IF(C34=3,Feuil2!E28,IF(C34=4,Feuil2!G28,""))),"")</f>
        <v>15</v>
      </c>
      <c r="D37" s="5"/>
      <c r="E37" s="5"/>
      <c r="F37" s="5"/>
      <c r="G37" s="5"/>
      <c r="H37" s="22" t="s">
        <v>122</v>
      </c>
      <c r="I37" s="25" t="s">
        <v>143</v>
      </c>
      <c r="J37" s="50"/>
      <c r="K37" s="5"/>
      <c r="L37" s="5" t="s">
        <v>144</v>
      </c>
      <c r="M37" s="5"/>
      <c r="N37" s="5"/>
      <c r="O37" s="5"/>
    </row>
    <row r="38" spans="1:15" x14ac:dyDescent="0.35">
      <c r="A38" s="5"/>
      <c r="B38" s="5" t="s">
        <v>115</v>
      </c>
      <c r="C38" s="33" t="str">
        <f>IF(C26="SUNWOOD",Feuil2!C33*Feuil2!C35,"")</f>
        <v/>
      </c>
      <c r="D38" s="5"/>
      <c r="E38" s="5"/>
      <c r="F38" s="5"/>
      <c r="G38" s="5"/>
      <c r="H38" s="5" t="s">
        <v>161</v>
      </c>
      <c r="I38" s="25" t="s">
        <v>142</v>
      </c>
      <c r="J38" s="54"/>
      <c r="K38" s="25"/>
      <c r="L38" s="64">
        <f>H21+H25</f>
        <v>37</v>
      </c>
      <c r="M38" s="37"/>
      <c r="N38" s="37"/>
      <c r="O38" s="5"/>
    </row>
    <row r="39" spans="1:15" x14ac:dyDescent="0.35">
      <c r="A39" s="5"/>
      <c r="B39" s="5" t="s">
        <v>114</v>
      </c>
      <c r="C39" s="19"/>
      <c r="D39" s="5"/>
      <c r="E39" s="5"/>
      <c r="F39" s="5"/>
      <c r="G39" s="5"/>
      <c r="H39" s="25"/>
      <c r="I39" s="25"/>
      <c r="J39" s="25"/>
      <c r="K39" s="25"/>
      <c r="L39" s="25"/>
      <c r="M39" s="25"/>
      <c r="N39" s="25"/>
      <c r="O39" s="5"/>
    </row>
    <row r="40" spans="1:15" ht="15" thickBot="1" x14ac:dyDescent="0.4">
      <c r="A40" s="5"/>
      <c r="B40" s="5"/>
      <c r="C40" s="5"/>
      <c r="D40" s="5"/>
      <c r="E40" s="5"/>
      <c r="F40" s="5"/>
      <c r="G40" s="5"/>
      <c r="H40" s="29" t="s">
        <v>121</v>
      </c>
      <c r="I40" s="59" t="s">
        <v>46</v>
      </c>
      <c r="J40" s="59" t="s">
        <v>45</v>
      </c>
      <c r="K40" s="59" t="s">
        <v>134</v>
      </c>
      <c r="L40" s="59"/>
      <c r="M40" s="25"/>
      <c r="N40" s="5"/>
      <c r="O40" s="5"/>
    </row>
    <row r="41" spans="1:15" ht="15" thickBot="1" x14ac:dyDescent="0.4">
      <c r="A41" s="5"/>
      <c r="B41" s="5"/>
      <c r="C41" s="5"/>
      <c r="D41" s="5"/>
      <c r="E41" s="5"/>
      <c r="F41" s="5"/>
      <c r="G41" s="5"/>
      <c r="H41" s="43">
        <f>IF(AND(J37&lt;&gt;"",L38&lt;&gt;""),J37*L38/I12,IF(J37&lt;&gt;"",J37*(H21+H25)/I12,IF(I41&lt;&gt;0,I41+J41+K41+L41,"Renseigner les surfaces et déperditions")))</f>
        <v>1160</v>
      </c>
      <c r="I41" s="61">
        <v>380</v>
      </c>
      <c r="J41" s="61">
        <v>390</v>
      </c>
      <c r="K41" s="61">
        <v>390</v>
      </c>
      <c r="L41" s="61"/>
      <c r="M41" s="5"/>
      <c r="N41" s="5"/>
      <c r="O41" s="5"/>
    </row>
    <row r="42" spans="1:15" x14ac:dyDescent="0.35">
      <c r="A42" s="5"/>
      <c r="B42" s="29" t="s">
        <v>111</v>
      </c>
      <c r="C42" s="53">
        <f>(C32*C22-C33)/1000</f>
        <v>0.43914079999999994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35">
      <c r="A43" s="5"/>
      <c r="B43" s="29" t="s">
        <v>112</v>
      </c>
      <c r="C43" s="34">
        <f>IF(H21&lt;&gt;0,H22,IF(H25&lt;&gt;0,H26,L38/I12))</f>
        <v>0.16964695093993581</v>
      </c>
      <c r="D43" s="5"/>
      <c r="E43" s="5"/>
      <c r="F43" s="5"/>
      <c r="G43" s="5"/>
      <c r="H43" s="32" t="s">
        <v>125</v>
      </c>
      <c r="I43" s="5"/>
      <c r="J43" s="5"/>
      <c r="K43" s="5"/>
      <c r="L43" s="5"/>
      <c r="M43" s="5"/>
      <c r="N43" s="5"/>
      <c r="O43" s="5"/>
    </row>
    <row r="44" spans="1:15" x14ac:dyDescent="0.35">
      <c r="A44" s="5"/>
      <c r="B44" s="29" t="s">
        <v>113</v>
      </c>
      <c r="C44" s="34">
        <f>C42/(H41/1000)</f>
        <v>0.37856965517241375</v>
      </c>
      <c r="D44" s="5"/>
      <c r="E44" s="5"/>
      <c r="F44" s="5"/>
      <c r="G44" s="5"/>
      <c r="H44" s="45" t="str">
        <f>IF(AND(C28="NON",H46&lt;0),"Veuillez ajouter un appoint centralisé BOOSTY",IF(AND(H41-C42*1000&gt;0,C29=""),"Veuillez ajouter un appoint centralisé BOOSTY",IF(H45-H41&lt;0,"Retenir de préférence une puissance plus importante pour BOOSTY",IF(AND(C29=1800,H45-H41&gt;600),"Retenir de préférence une puissance de 1200 W pour BOOSTY",IF(C28="NON","OK, pas besoin d'appoint BOOSTY","OK pour dimensionnement BOOSTY")))))</f>
        <v>Retenir de préférence une puissance de 1200 W pour BOOSTY</v>
      </c>
      <c r="I44" s="5"/>
      <c r="J44" s="5"/>
      <c r="K44" s="5"/>
      <c r="L44" s="5"/>
      <c r="M44" s="5"/>
      <c r="N44" s="5"/>
      <c r="O44" s="5"/>
    </row>
    <row r="45" spans="1:15" x14ac:dyDescent="0.35">
      <c r="A45" s="5"/>
      <c r="B45" s="29" t="s">
        <v>117</v>
      </c>
      <c r="C45" s="35">
        <f>IF(C26="CONFORT+",1.1*C37,IF(C26="ALLIANCE",IF(C39=0,"Renseignez C39",1.1*C39),IF(C26="SUNWOOD",1.1*C38,"")))</f>
        <v>16.5</v>
      </c>
      <c r="D45" s="5"/>
      <c r="E45" s="5"/>
      <c r="F45" s="5"/>
      <c r="G45" s="5"/>
      <c r="H45" s="42">
        <f>IF(C29&lt;&gt;"",C29+C42*1000,C42*1000)</f>
        <v>2239.1408000000001</v>
      </c>
      <c r="I45" s="5"/>
      <c r="J45" s="5"/>
      <c r="K45" s="5"/>
      <c r="L45" s="5"/>
      <c r="M45" s="5"/>
      <c r="N45" s="5"/>
      <c r="O45" s="5"/>
    </row>
    <row r="46" spans="1:15" x14ac:dyDescent="0.35">
      <c r="A46" s="5"/>
      <c r="B46" s="5"/>
      <c r="C46" s="5"/>
      <c r="D46" s="5"/>
      <c r="E46" s="5"/>
      <c r="F46" s="5"/>
      <c r="G46" s="5"/>
      <c r="H46" s="44">
        <f>IF(C29&lt;&gt;"",H45-H41,"")</f>
        <v>1079.1408000000001</v>
      </c>
      <c r="I46" s="5"/>
      <c r="J46" s="5"/>
      <c r="K46" s="5"/>
      <c r="L46" s="5"/>
      <c r="M46" s="5"/>
      <c r="N46" s="5"/>
      <c r="O46" s="5"/>
    </row>
    <row r="49" spans="8:12" x14ac:dyDescent="0.35">
      <c r="I49" s="1"/>
      <c r="J49" s="1"/>
      <c r="K49" s="1"/>
      <c r="L49" s="1"/>
    </row>
    <row r="50" spans="8:12" x14ac:dyDescent="0.35">
      <c r="H50" s="55"/>
      <c r="I50" s="56"/>
      <c r="J50" s="56"/>
      <c r="K50" s="56"/>
      <c r="L50" s="56"/>
    </row>
  </sheetData>
  <sheetProtection algorithmName="SHA-512" hashValue="pYiUB6Yy9Zwo/qRvG0cxaTFiS8f3y5LtrQyVTW1OLDMUxhiDeq3C5/YEW1PuFp+OmyKcbzXKwhFZxNOx+vrcSQ==" saltValue="69jhU8PvDjULvI/04Q80pw==" spinCount="100000" sheet="1" objects="1" scenarios="1" selectLockedCells="1"/>
  <mergeCells count="3">
    <mergeCell ref="B1:H1"/>
    <mergeCell ref="K12:L12"/>
    <mergeCell ref="K13:L13"/>
  </mergeCells>
  <conditionalFormatting sqref="M11">
    <cfRule type="containsText" dxfId="11" priority="11" operator="containsText" text="OK">
      <formula>NOT(ISERROR(SEARCH("OK",M11)))</formula>
    </cfRule>
    <cfRule type="containsText" dxfId="10" priority="12" operator="containsText" text="Vérifier SHab">
      <formula>NOT(ISERROR(SEARCH("Vérifier SHab",M11)))</formula>
    </cfRule>
  </conditionalFormatting>
  <conditionalFormatting sqref="M14">
    <cfRule type="containsText" dxfId="9" priority="9" operator="containsText" text="OK">
      <formula>NOT(ISERROR(SEARCH("OK",M14)))</formula>
    </cfRule>
    <cfRule type="containsText" dxfId="8" priority="10" operator="containsText" text="Vérifier A+B">
      <formula>NOT(ISERROR(SEARCH("Vérifier A+B",M14)))</formula>
    </cfRule>
  </conditionalFormatting>
  <conditionalFormatting sqref="H46">
    <cfRule type="cellIs" dxfId="7" priority="8" operator="lessThan">
      <formula>0</formula>
    </cfRule>
  </conditionalFormatting>
  <conditionalFormatting sqref="H44">
    <cfRule type="containsText" dxfId="6" priority="5" operator="containsText" text="ajouter">
      <formula>NOT(ISERROR(SEARCH("ajouter",H44)))</formula>
    </cfRule>
    <cfRule type="containsText" dxfId="5" priority="6" operator="containsText" text="OK">
      <formula>NOT(ISERROR(SEARCH("OK",H44)))</formula>
    </cfRule>
    <cfRule type="containsText" dxfId="4" priority="7" operator="containsText" text="puissance">
      <formula>NOT(ISERROR(SEARCH("puissance",H44)))</formula>
    </cfRule>
  </conditionalFormatting>
  <conditionalFormatting sqref="J10">
    <cfRule type="containsText" dxfId="3" priority="3" operator="containsText" text="OK">
      <formula>NOT(ISERROR(SEARCH("OK",J10)))</formula>
    </cfRule>
    <cfRule type="containsText" dxfId="2" priority="4" operator="containsText" text="Vérifier SHab">
      <formula>NOT(ISERROR(SEARCH("Vérifier SHab",J10)))</formula>
    </cfRule>
    <cfRule type="containsText" dxfId="1" priority="2" operator="containsText" text="APPOINT">
      <formula>NOT(ISERROR(SEARCH("APPOINT",J10)))</formula>
    </cfRule>
    <cfRule type="containsText" dxfId="0" priority="1" operator="containsText" text="PRINCIPAL">
      <formula>NOT(ISERROR(SEARCH("PRINCIPAL",J10)))</formula>
    </cfRule>
  </conditionalFormatting>
  <pageMargins left="0.7" right="0.7" top="0.75" bottom="0.75" header="0.3" footer="0.3"/>
  <pageSetup paperSize="9" scale="6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Feuil2!$B$15:$B$17</xm:f>
          </x14:formula1>
          <xm:sqref>C27</xm:sqref>
        </x14:dataValidation>
        <x14:dataValidation type="list" allowBlank="1" showInputMessage="1" showErrorMessage="1" xr:uid="{00000000-0002-0000-0000-000001000000}">
          <x14:formula1>
            <xm:f>Feuil2!$B$3:$B$7</xm:f>
          </x14:formula1>
          <xm:sqref>C17</xm:sqref>
        </x14:dataValidation>
        <x14:dataValidation type="list" allowBlank="1" showInputMessage="1" showErrorMessage="1" xr:uid="{00000000-0002-0000-0000-000002000000}">
          <x14:formula1>
            <xm:f>Feuil2!$B$9:$B$11</xm:f>
          </x14:formula1>
          <xm:sqref>C26</xm:sqref>
        </x14:dataValidation>
        <x14:dataValidation type="list" allowBlank="1" showInputMessage="1" showErrorMessage="1" xr:uid="{00000000-0002-0000-0000-000003000000}">
          <x14:formula1>
            <xm:f>Feuil2!$B$21:$B$23</xm:f>
          </x14:formula1>
          <xm:sqref>C28</xm:sqref>
        </x14:dataValidation>
        <x14:dataValidation type="list" allowBlank="1" showInputMessage="1" showErrorMessage="1" xr:uid="{00000000-0002-0000-0000-000004000000}">
          <x14:formula1>
            <xm:f>Feuil2!$C$21:$C$23</xm:f>
          </x14:formula1>
          <xm:sqref>C29</xm:sqref>
        </x14:dataValidation>
        <x14:dataValidation type="list" allowBlank="1" showInputMessage="1" showErrorMessage="1" xr:uid="{00000000-0002-0000-0000-000005000000}">
          <x14:formula1>
            <xm:f>Feuil2!$J$3:$J$10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3"/>
  <sheetViews>
    <sheetView zoomScale="85" zoomScaleNormal="85" zoomScaleSheetLayoutView="85" workbookViewId="0">
      <selection activeCell="B1" sqref="B1"/>
    </sheetView>
  </sheetViews>
  <sheetFormatPr baseColWidth="10" defaultColWidth="10.81640625" defaultRowHeight="14.5" x14ac:dyDescent="0.35"/>
  <cols>
    <col min="1" max="1" width="4.7265625" style="5" customWidth="1"/>
    <col min="2" max="2" width="28.26953125" style="5" customWidth="1"/>
    <col min="3" max="3" width="16" style="5" customWidth="1"/>
    <col min="4" max="4" width="16.453125" style="5" customWidth="1"/>
    <col min="5" max="5" width="16.7265625" style="5" customWidth="1"/>
    <col min="6" max="6" width="16.81640625" style="5" customWidth="1"/>
    <col min="7" max="7" width="17.54296875" style="5" customWidth="1"/>
    <col min="8" max="8" width="16.26953125" style="5" customWidth="1"/>
    <col min="9" max="9" width="29.7265625" style="5" customWidth="1"/>
    <col min="10" max="10" width="26.26953125" style="5" customWidth="1"/>
    <col min="11" max="16384" width="10.81640625" style="5"/>
  </cols>
  <sheetData>
    <row r="1" spans="2:10" ht="15" thickBot="1" x14ac:dyDescent="0.4"/>
    <row r="2" spans="2:10" ht="43.15" customHeight="1" x14ac:dyDescent="0.35">
      <c r="B2" s="9" t="s">
        <v>93</v>
      </c>
      <c r="C2" s="76" t="s">
        <v>103</v>
      </c>
      <c r="D2" s="77"/>
      <c r="E2" s="76" t="s">
        <v>104</v>
      </c>
      <c r="F2" s="81"/>
      <c r="G2" s="81"/>
      <c r="H2" s="77"/>
      <c r="I2" s="9" t="s">
        <v>105</v>
      </c>
      <c r="J2" s="9" t="s">
        <v>106</v>
      </c>
    </row>
    <row r="3" spans="2:10" ht="18.399999999999999" customHeight="1" thickBot="1" x14ac:dyDescent="0.4">
      <c r="B3" s="49">
        <f>'TitreV Conduit Ech'!M12</f>
        <v>218.1</v>
      </c>
      <c r="C3" s="82">
        <f>'TitreV Conduit Ech'!M13</f>
        <v>96</v>
      </c>
      <c r="D3" s="83"/>
      <c r="E3" s="71">
        <f>IF(SUM('TitreV Conduit Ech'!H21,'TitreV Conduit Ech'!H25)=0,0,'TitreV Conduit Ech'!H21+'TitreV Conduit Ech'!H25)</f>
        <v>37</v>
      </c>
      <c r="F3" s="72"/>
      <c r="G3" s="72"/>
      <c r="H3" s="73"/>
      <c r="I3" s="49">
        <f>'TitreV Conduit Ech'!H29</f>
        <v>66.2</v>
      </c>
      <c r="J3" s="49">
        <f>'TitreV Conduit Ech'!H33</f>
        <v>18.899999999999999</v>
      </c>
    </row>
    <row r="4" spans="2:10" ht="37.15" customHeight="1" x14ac:dyDescent="0.35">
      <c r="B4" s="74" t="s">
        <v>94</v>
      </c>
      <c r="C4" s="76" t="s">
        <v>79</v>
      </c>
      <c r="D4" s="78"/>
      <c r="E4" s="76" t="s">
        <v>77</v>
      </c>
      <c r="F4" s="78"/>
      <c r="G4" s="76" t="s">
        <v>78</v>
      </c>
      <c r="H4" s="78"/>
      <c r="I4" s="12" t="s">
        <v>80</v>
      </c>
      <c r="J4" s="7" t="s">
        <v>95</v>
      </c>
    </row>
    <row r="5" spans="2:10" ht="42.4" customHeight="1" thickBot="1" x14ac:dyDescent="0.4">
      <c r="B5" s="75"/>
      <c r="C5" s="79" t="s">
        <v>97</v>
      </c>
      <c r="D5" s="80"/>
      <c r="E5" s="86" t="s">
        <v>98</v>
      </c>
      <c r="F5" s="87"/>
      <c r="G5" s="79" t="s">
        <v>76</v>
      </c>
      <c r="H5" s="80"/>
      <c r="I5" s="8" t="s">
        <v>88</v>
      </c>
      <c r="J5" s="8" t="s">
        <v>89</v>
      </c>
    </row>
    <row r="6" spans="2:10" ht="36.4" customHeight="1" x14ac:dyDescent="0.35">
      <c r="B6" s="9" t="s">
        <v>81</v>
      </c>
      <c r="C6" s="9" t="s">
        <v>72</v>
      </c>
      <c r="D6" s="9" t="s">
        <v>73</v>
      </c>
      <c r="E6" s="11" t="s">
        <v>74</v>
      </c>
      <c r="F6" s="10" t="s">
        <v>75</v>
      </c>
      <c r="G6" s="9" t="s">
        <v>73</v>
      </c>
      <c r="H6" s="10" t="s">
        <v>75</v>
      </c>
      <c r="I6" s="11" t="s">
        <v>92</v>
      </c>
      <c r="J6" s="9" t="s">
        <v>87</v>
      </c>
    </row>
    <row r="7" spans="2:10" ht="20.65" customHeight="1" thickBot="1" x14ac:dyDescent="0.4">
      <c r="B7" s="8" t="s">
        <v>91</v>
      </c>
      <c r="C7" s="49">
        <f>'TitreV Conduit Ech'!H17</f>
        <v>96</v>
      </c>
      <c r="D7" s="49">
        <f>'TitreV Conduit Ech'!H21</f>
        <v>0</v>
      </c>
      <c r="E7" s="49">
        <f>'TitreV Conduit Ech'!H21</f>
        <v>0</v>
      </c>
      <c r="F7" s="49">
        <f>'TitreV Conduit Ech'!H25</f>
        <v>37</v>
      </c>
      <c r="G7" s="49">
        <f>'TitreV Conduit Ech'!H21</f>
        <v>0</v>
      </c>
      <c r="H7" s="49">
        <f>'TitreV Conduit Ech'!H25</f>
        <v>37</v>
      </c>
      <c r="I7" s="49">
        <f>'TitreV Conduit Ech'!H29</f>
        <v>66.2</v>
      </c>
      <c r="J7" s="49">
        <f>'TitreV Conduit Ech'!H33</f>
        <v>18.899999999999999</v>
      </c>
    </row>
    <row r="8" spans="2:10" ht="26.65" customHeight="1" x14ac:dyDescent="0.35">
      <c r="B8" s="74" t="s">
        <v>90</v>
      </c>
      <c r="C8" s="9" t="s">
        <v>82</v>
      </c>
      <c r="D8" s="9" t="s">
        <v>83</v>
      </c>
      <c r="E8" s="9" t="s">
        <v>83</v>
      </c>
      <c r="F8" s="9" t="s">
        <v>84</v>
      </c>
      <c r="G8" s="9" t="s">
        <v>83</v>
      </c>
      <c r="H8" s="9" t="s">
        <v>84</v>
      </c>
      <c r="I8" s="9" t="s">
        <v>86</v>
      </c>
      <c r="J8" s="9" t="s">
        <v>85</v>
      </c>
    </row>
    <row r="9" spans="2:10" ht="18" customHeight="1" x14ac:dyDescent="0.35">
      <c r="B9" s="84"/>
      <c r="C9" s="13">
        <f>'TitreV Conduit Ech'!H18</f>
        <v>0.44016506189821186</v>
      </c>
      <c r="D9" s="13">
        <f>'TitreV Conduit Ech'!H22</f>
        <v>0</v>
      </c>
      <c r="E9" s="13">
        <f>'TitreV Conduit Ech'!H22</f>
        <v>0</v>
      </c>
      <c r="F9" s="13">
        <f>IF(F7=0,"NA",'TitreV Conduit Ech'!H26)</f>
        <v>0.16964695093993581</v>
      </c>
      <c r="G9" s="13">
        <f>'TitreV Conduit Ech'!H22</f>
        <v>0</v>
      </c>
      <c r="H9" s="13">
        <f>IF(H7=0,"NA",'TitreV Conduit Ech'!H26)</f>
        <v>0.16964695093993581</v>
      </c>
      <c r="I9" s="13">
        <f>'TitreV Conduit Ech'!H30</f>
        <v>0.30353049060064191</v>
      </c>
      <c r="J9" s="13">
        <f>'TitreV Conduit Ech'!H34</f>
        <v>8.6657496561210454E-2</v>
      </c>
    </row>
    <row r="10" spans="2:10" ht="42.4" customHeight="1" x14ac:dyDescent="0.35">
      <c r="B10" s="85" t="s">
        <v>96</v>
      </c>
      <c r="C10" s="11">
        <v>1</v>
      </c>
      <c r="D10" s="11">
        <v>0.5</v>
      </c>
      <c r="E10" s="16" t="s">
        <v>48</v>
      </c>
      <c r="F10" s="16" t="str">
        <f>IF(F7=0,"NA","Rat_t_Ech")</f>
        <v>Rat_t_Ech</v>
      </c>
      <c r="G10" s="17" t="s">
        <v>102</v>
      </c>
      <c r="H10" s="17" t="str">
        <f>IF(H7=0,"NA","1 - Rat_t_Ech")</f>
        <v>1 - Rat_t_Ech</v>
      </c>
      <c r="I10" s="11">
        <v>1</v>
      </c>
      <c r="J10" s="11">
        <v>1</v>
      </c>
    </row>
    <row r="11" spans="2:10" ht="15" thickBot="1" x14ac:dyDescent="0.4">
      <c r="B11" s="79"/>
      <c r="C11" s="14">
        <f>C10</f>
        <v>1</v>
      </c>
      <c r="D11" s="14">
        <f>D10</f>
        <v>0.5</v>
      </c>
      <c r="E11" s="15" t="str">
        <f>IF(E7=0,"NA",'TitreV Conduit Ech'!C44)</f>
        <v>NA</v>
      </c>
      <c r="F11" s="15">
        <f>IF(F7=0,"NA",'TitreV Conduit Ech'!C44)</f>
        <v>0.37856965517241375</v>
      </c>
      <c r="G11" s="15" t="str">
        <f>IF(E7=0,"NA",D11-E11)</f>
        <v>NA</v>
      </c>
      <c r="H11" s="15">
        <f>IF(H7=0,"NA",1-F11)</f>
        <v>0.62143034482758619</v>
      </c>
      <c r="I11" s="14">
        <f>I10</f>
        <v>1</v>
      </c>
      <c r="J11" s="14">
        <f>J10</f>
        <v>1</v>
      </c>
    </row>
    <row r="13" spans="2:10" x14ac:dyDescent="0.35">
      <c r="B13" s="5" t="s">
        <v>107</v>
      </c>
    </row>
  </sheetData>
  <sheetProtection algorithmName="SHA-512" hashValue="vwGwMudTdU1QBS5EhUAVMu/wiSA660DeC/pXI/1hCXsLumMPxEitrkq2pHCxr+DXoArei38BcCGtOMPvpcIlWQ==" saltValue="dsPbRW77A5yP7NPx+X9RmA==" spinCount="100000" sheet="1" objects="1" scenarios="1" selectLockedCells="1"/>
  <mergeCells count="13">
    <mergeCell ref="B8:B9"/>
    <mergeCell ref="B10:B11"/>
    <mergeCell ref="E4:F4"/>
    <mergeCell ref="E5:F5"/>
    <mergeCell ref="G4:H4"/>
    <mergeCell ref="G5:H5"/>
    <mergeCell ref="E3:H3"/>
    <mergeCell ref="B4:B5"/>
    <mergeCell ref="C2:D2"/>
    <mergeCell ref="C4:D4"/>
    <mergeCell ref="C5:D5"/>
    <mergeCell ref="E2:H2"/>
    <mergeCell ref="C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35"/>
  <sheetViews>
    <sheetView workbookViewId="0">
      <selection activeCell="B4" sqref="B4"/>
    </sheetView>
  </sheetViews>
  <sheetFormatPr baseColWidth="10" defaultRowHeight="14.5" x14ac:dyDescent="0.35"/>
  <cols>
    <col min="2" max="2" width="26.7265625" customWidth="1"/>
  </cols>
  <sheetData>
    <row r="3" spans="2:10" x14ac:dyDescent="0.35">
      <c r="J3" t="s">
        <v>135</v>
      </c>
    </row>
    <row r="4" spans="2:10" x14ac:dyDescent="0.35">
      <c r="B4" t="s">
        <v>23</v>
      </c>
      <c r="J4" t="s">
        <v>136</v>
      </c>
    </row>
    <row r="5" spans="2:10" x14ac:dyDescent="0.35">
      <c r="B5" t="s">
        <v>141</v>
      </c>
      <c r="J5" t="s">
        <v>137</v>
      </c>
    </row>
    <row r="6" spans="2:10" x14ac:dyDescent="0.35">
      <c r="B6" t="s">
        <v>24</v>
      </c>
      <c r="J6" t="s">
        <v>138</v>
      </c>
    </row>
    <row r="7" spans="2:10" x14ac:dyDescent="0.35">
      <c r="J7" t="s">
        <v>133</v>
      </c>
    </row>
    <row r="8" spans="2:10" x14ac:dyDescent="0.35">
      <c r="J8" t="s">
        <v>4</v>
      </c>
    </row>
    <row r="9" spans="2:10" x14ac:dyDescent="0.35">
      <c r="B9" t="s">
        <v>10</v>
      </c>
      <c r="J9" t="s">
        <v>139</v>
      </c>
    </row>
    <row r="10" spans="2:10" x14ac:dyDescent="0.35">
      <c r="B10" t="s">
        <v>11</v>
      </c>
      <c r="J10" t="s">
        <v>140</v>
      </c>
    </row>
    <row r="11" spans="2:10" x14ac:dyDescent="0.35">
      <c r="B11" t="s">
        <v>12</v>
      </c>
    </row>
    <row r="13" spans="2:10" x14ac:dyDescent="0.35">
      <c r="B13" t="s">
        <v>33</v>
      </c>
      <c r="C13" s="1">
        <v>3</v>
      </c>
      <c r="D13" s="1">
        <v>5.9</v>
      </c>
      <c r="E13" s="1">
        <v>6</v>
      </c>
      <c r="F13" s="1">
        <v>8</v>
      </c>
      <c r="G13" s="1">
        <v>8.1</v>
      </c>
      <c r="H13" s="1">
        <v>12</v>
      </c>
    </row>
    <row r="14" spans="2:10" x14ac:dyDescent="0.35">
      <c r="B14" t="s">
        <v>32</v>
      </c>
      <c r="C14" s="3" t="s">
        <v>30</v>
      </c>
      <c r="D14" s="3" t="s">
        <v>31</v>
      </c>
      <c r="E14" s="3" t="s">
        <v>30</v>
      </c>
      <c r="F14" s="3" t="s">
        <v>31</v>
      </c>
      <c r="G14" s="3" t="s">
        <v>30</v>
      </c>
      <c r="H14" s="3" t="s">
        <v>31</v>
      </c>
    </row>
    <row r="15" spans="2:10" x14ac:dyDescent="0.35">
      <c r="B15" t="s">
        <v>17</v>
      </c>
      <c r="C15" s="1">
        <v>2.363</v>
      </c>
      <c r="D15" s="1">
        <v>172.4</v>
      </c>
      <c r="E15" s="1">
        <v>2.504</v>
      </c>
      <c r="F15" s="1">
        <v>162.5</v>
      </c>
      <c r="G15" s="1">
        <v>2.617</v>
      </c>
      <c r="H15" s="1">
        <v>177.6</v>
      </c>
    </row>
    <row r="16" spans="2:10" x14ac:dyDescent="0.35">
      <c r="B16" t="s">
        <v>18</v>
      </c>
      <c r="C16" s="1">
        <v>2.1539999999999999</v>
      </c>
      <c r="D16" s="1">
        <v>114.9</v>
      </c>
      <c r="E16" s="1">
        <v>3.5049999999999999</v>
      </c>
      <c r="F16" s="1">
        <v>347.3</v>
      </c>
      <c r="G16" s="1">
        <v>3.6150000000000002</v>
      </c>
      <c r="H16" s="1">
        <v>296</v>
      </c>
    </row>
    <row r="17" spans="2:8" x14ac:dyDescent="0.35">
      <c r="B17" t="s">
        <v>19</v>
      </c>
      <c r="C17" s="1">
        <v>2.681</v>
      </c>
      <c r="D17" s="1">
        <v>181.6</v>
      </c>
      <c r="E17" s="1">
        <v>2.9239999999999999</v>
      </c>
      <c r="F17" s="1">
        <v>147.5</v>
      </c>
      <c r="G17" s="1">
        <v>2.9239999999999999</v>
      </c>
      <c r="H17" s="1">
        <v>128.69999999999999</v>
      </c>
    </row>
    <row r="20" spans="2:8" x14ac:dyDescent="0.35">
      <c r="B20" t="s">
        <v>41</v>
      </c>
    </row>
    <row r="21" spans="2:8" x14ac:dyDescent="0.35">
      <c r="B21" t="s">
        <v>39</v>
      </c>
      <c r="C21" t="str">
        <f>""</f>
        <v/>
      </c>
    </row>
    <row r="22" spans="2:8" x14ac:dyDescent="0.35">
      <c r="B22" t="s">
        <v>38</v>
      </c>
      <c r="C22" s="40">
        <v>1200</v>
      </c>
    </row>
    <row r="23" spans="2:8" x14ac:dyDescent="0.35">
      <c r="B23" t="s">
        <v>40</v>
      </c>
      <c r="C23" s="40">
        <v>1800</v>
      </c>
    </row>
    <row r="26" spans="2:8" x14ac:dyDescent="0.35">
      <c r="B26" t="s">
        <v>51</v>
      </c>
      <c r="C26">
        <v>2</v>
      </c>
      <c r="D26">
        <v>3</v>
      </c>
      <c r="E26">
        <v>4</v>
      </c>
      <c r="F26">
        <v>5</v>
      </c>
      <c r="G26">
        <v>6</v>
      </c>
    </row>
    <row r="27" spans="2:8" x14ac:dyDescent="0.35">
      <c r="B27" t="s">
        <v>52</v>
      </c>
      <c r="C27">
        <v>70</v>
      </c>
      <c r="D27">
        <v>95</v>
      </c>
      <c r="E27">
        <v>120</v>
      </c>
      <c r="F27">
        <v>140</v>
      </c>
      <c r="G27">
        <v>160</v>
      </c>
    </row>
    <row r="28" spans="2:8" x14ac:dyDescent="0.35">
      <c r="B28" t="s">
        <v>53</v>
      </c>
      <c r="C28">
        <v>5</v>
      </c>
      <c r="D28">
        <v>10</v>
      </c>
      <c r="E28">
        <v>15</v>
      </c>
      <c r="F28">
        <v>20</v>
      </c>
      <c r="G28">
        <v>30</v>
      </c>
    </row>
    <row r="29" spans="2:8" x14ac:dyDescent="0.35">
      <c r="B29" t="s">
        <v>54</v>
      </c>
      <c r="C29" s="4">
        <v>2</v>
      </c>
      <c r="D29">
        <v>3</v>
      </c>
      <c r="E29" s="4">
        <v>3</v>
      </c>
      <c r="F29">
        <v>4</v>
      </c>
      <c r="G29" s="4">
        <v>4</v>
      </c>
    </row>
    <row r="33" spans="2:4" x14ac:dyDescent="0.35">
      <c r="B33" t="s">
        <v>56</v>
      </c>
      <c r="C33" s="2">
        <v>0.21</v>
      </c>
      <c r="D33" t="s">
        <v>50</v>
      </c>
    </row>
    <row r="34" spans="2:4" x14ac:dyDescent="0.35">
      <c r="C34" s="2">
        <v>60</v>
      </c>
      <c r="D34" t="s">
        <v>57</v>
      </c>
    </row>
    <row r="35" spans="2:4" x14ac:dyDescent="0.35">
      <c r="C35" s="2">
        <f>'TitreV Conduit Ech'!C34*C34</f>
        <v>180</v>
      </c>
      <c r="D35" t="s">
        <v>55</v>
      </c>
    </row>
  </sheetData>
  <sheetProtection algorithmName="SHA-512" hashValue="zwcxtTP4Py7Kv/r7dgT3Pq7EOgXCrR/WdWik1mKjTduwywVs/u98SnZ36QSrLukKZ8Oe3/nj8frWdlhRHLB6Ow==" saltValue="8LivOaycO8l30hgMQx57Sg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TitreV Conduit Ech</vt:lpstr>
      <vt:lpstr>Synthèse Ratios</vt:lpstr>
      <vt:lpstr>Feuil2</vt:lpstr>
      <vt:lpstr>'TitreV Conduit Ech'!_Hlk494891016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PEIGNE Pierre</dc:creator>
  <cp:lastModifiedBy>PEIGNE Pierre</cp:lastModifiedBy>
  <cp:lastPrinted>2018-07-20T15:29:58Z</cp:lastPrinted>
  <dcterms:created xsi:type="dcterms:W3CDTF">2017-10-02T10:02:40Z</dcterms:created>
  <dcterms:modified xsi:type="dcterms:W3CDTF">2019-03-20T15:54:44Z</dcterms:modified>
</cp:coreProperties>
</file>